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ESQUISA\MENTALISTAS CAR\06 - JORNADA DO CLIENTE\01 - ANTES\01 - OFERTA\"/>
    </mc:Choice>
  </mc:AlternateContent>
  <xr:revisionPtr revIDLastSave="0" documentId="13_ncr:1_{8B7FEF21-F61C-4F36-9675-C53CBFB3919D}" xr6:coauthVersionLast="47" xr6:coauthVersionMax="47" xr10:uidLastSave="{00000000-0000-0000-0000-000000000000}"/>
  <bookViews>
    <workbookView xWindow="23880" yWindow="-120" windowWidth="24240" windowHeight="13140" xr2:uid="{8571563F-170D-4EEE-8F0A-714E1A650DA7}"/>
  </bookViews>
  <sheets>
    <sheet name="RESULTADO" sheetId="6" r:id="rId1"/>
    <sheet name="CÁLCULOS" sheetId="3" r:id="rId2"/>
    <sheet name="TABELA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6" l="1"/>
  <c r="B20" i="6"/>
  <c r="B22" i="6" l="1"/>
  <c r="B23" i="6" s="1"/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" i="5"/>
  <c r="B29" i="3"/>
  <c r="B10" i="3"/>
  <c r="D12" i="5"/>
  <c r="D11" i="5"/>
  <c r="D10" i="5"/>
  <c r="D9" i="5"/>
  <c r="D8" i="5"/>
  <c r="D7" i="5"/>
  <c r="D6" i="5"/>
  <c r="D5" i="5"/>
  <c r="D4" i="5"/>
  <c r="D3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B6" i="3"/>
  <c r="E4" i="3" s="1"/>
  <c r="E6" i="3" s="1"/>
  <c r="E7" i="3" s="1"/>
  <c r="B5" i="3"/>
  <c r="B11" i="6"/>
  <c r="B23" i="3" l="1"/>
  <c r="B25" i="3" s="1"/>
  <c r="B19" i="3"/>
  <c r="B21" i="3" s="1"/>
  <c r="E5" i="3"/>
  <c r="B7" i="3"/>
  <c r="B9" i="3" s="1"/>
  <c r="E8" i="3"/>
  <c r="E2" i="3" l="1"/>
  <c r="B15" i="6" s="1"/>
  <c r="B28" i="3"/>
  <c r="B11" i="3"/>
  <c r="B30" i="3"/>
  <c r="B31" i="3" s="1"/>
  <c r="B16" i="3"/>
  <c r="B17" i="3" s="1"/>
  <c r="B13" i="3"/>
  <c r="B14" i="3" s="1"/>
  <c r="B2" i="3" l="1"/>
  <c r="B14" i="6" l="1"/>
  <c r="B16" i="6" s="1"/>
  <c r="B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Veloso - Mentalistas Tecnologia</author>
  </authors>
  <commentList>
    <comment ref="D4" authorId="0" shapeId="0" xr:uid="{67CB0163-6485-4363-BFFF-276E341C6268}">
      <text>
        <r>
          <rPr>
            <b/>
            <sz val="9"/>
            <color indexed="81"/>
            <rFont val="Segoe UI"/>
            <family val="2"/>
          </rPr>
          <t>ICMS: 17% + FCP: 1%</t>
        </r>
      </text>
    </comment>
    <comment ref="D20" authorId="0" shapeId="0" xr:uid="{F2139721-806D-4FA6-A6AF-C20C0EA39D39}">
      <text>
        <r>
          <rPr>
            <b/>
            <sz val="9"/>
            <color indexed="81"/>
            <rFont val="Segoe UI"/>
            <family val="2"/>
          </rPr>
          <t>ICMS: 17% + FCP: 1%</t>
        </r>
      </text>
    </comment>
    <comment ref="D21" authorId="0" shapeId="0" xr:uid="{E9B837B8-C2DF-4015-AA01-6CF298F52475}">
      <text>
        <r>
          <rPr>
            <b/>
            <sz val="9"/>
            <color indexed="81"/>
            <rFont val="Segoe UI"/>
            <family val="2"/>
          </rPr>
          <t>ICMS: 18% + FCP: 2%</t>
        </r>
      </text>
    </comment>
  </commentList>
</comments>
</file>

<file path=xl/sharedStrings.xml><?xml version="1.0" encoding="utf-8"?>
<sst xmlns="http://schemas.openxmlformats.org/spreadsheetml/2006/main" count="130" uniqueCount="122">
  <si>
    <t>ICMS</t>
  </si>
  <si>
    <t>PIS</t>
  </si>
  <si>
    <t>COFINS</t>
  </si>
  <si>
    <t>ESTADO</t>
  </si>
  <si>
    <t>MG</t>
  </si>
  <si>
    <t>AC</t>
  </si>
  <si>
    <t>Acre</t>
  </si>
  <si>
    <t>AL</t>
  </si>
  <si>
    <t>Alagoas</t>
  </si>
  <si>
    <t>AP</t>
  </si>
  <si>
    <t>Amapá</t>
  </si>
  <si>
    <t>AM</t>
  </si>
  <si>
    <t>Amazonas</t>
  </si>
  <si>
    <t>BA</t>
  </si>
  <si>
    <t>Bahia</t>
  </si>
  <si>
    <t>CE</t>
  </si>
  <si>
    <t>Ceara</t>
  </si>
  <si>
    <t>DF</t>
  </si>
  <si>
    <t>Distrito Federal</t>
  </si>
  <si>
    <t>ES</t>
  </si>
  <si>
    <t>Espírito Santo</t>
  </si>
  <si>
    <t>GO</t>
  </si>
  <si>
    <t>Goiás</t>
  </si>
  <si>
    <t>MA</t>
  </si>
  <si>
    <t>Maranhão</t>
  </si>
  <si>
    <t>MT</t>
  </si>
  <si>
    <t>Mato Grosso</t>
  </si>
  <si>
    <t>MS</t>
  </si>
  <si>
    <t>Mato Grosso do Sul</t>
  </si>
  <si>
    <t>Minas Gerais</t>
  </si>
  <si>
    <t>PA</t>
  </si>
  <si>
    <t>Pará</t>
  </si>
  <si>
    <t>PB</t>
  </si>
  <si>
    <t>Paraíba</t>
  </si>
  <si>
    <t>PR</t>
  </si>
  <si>
    <t>Paraná</t>
  </si>
  <si>
    <t>PE</t>
  </si>
  <si>
    <t>Pernambuco</t>
  </si>
  <si>
    <t>PI</t>
  </si>
  <si>
    <t>Piauí</t>
  </si>
  <si>
    <t>RJ</t>
  </si>
  <si>
    <t>Rio de Janeiro</t>
  </si>
  <si>
    <t>RN</t>
  </si>
  <si>
    <t>Rio Grande do Norte</t>
  </si>
  <si>
    <t>RS</t>
  </si>
  <si>
    <t>Rio Grande do Sul</t>
  </si>
  <si>
    <t>RO</t>
  </si>
  <si>
    <t>Rondônia</t>
  </si>
  <si>
    <t>RR</t>
  </si>
  <si>
    <t>Roraima</t>
  </si>
  <si>
    <t>SC</t>
  </si>
  <si>
    <t>Santa Catarina</t>
  </si>
  <si>
    <t>SP</t>
  </si>
  <si>
    <t>São Paulo</t>
  </si>
  <si>
    <t>SE</t>
  </si>
  <si>
    <t>Sergipe</t>
  </si>
  <si>
    <t>TO</t>
  </si>
  <si>
    <t>Tocantins</t>
  </si>
  <si>
    <t>VENDA</t>
  </si>
  <si>
    <t>COMPRA</t>
  </si>
  <si>
    <t>REDUÇÃO</t>
  </si>
  <si>
    <t>ALIQUOTA ICMS</t>
  </si>
  <si>
    <t>VALOR ICMS</t>
  </si>
  <si>
    <t>BASE REDUZIDA</t>
  </si>
  <si>
    <t>BASE (LUCRO)</t>
  </si>
  <si>
    <t>BASE PIS</t>
  </si>
  <si>
    <t>ALÍQUOTA</t>
  </si>
  <si>
    <t>VALOR PIS</t>
  </si>
  <si>
    <t>BASE COFINS</t>
  </si>
  <si>
    <t>VALOR COFINS</t>
  </si>
  <si>
    <t>TOTAL IMPOSTO</t>
  </si>
  <si>
    <t>BASE CSLL</t>
  </si>
  <si>
    <t>ALÍQUOTA CSLL</t>
  </si>
  <si>
    <t>VALOR CSLL</t>
  </si>
  <si>
    <t>BASE IRPJ</t>
  </si>
  <si>
    <t>ALÍQUOTA IRPJ</t>
  </si>
  <si>
    <t>VALOR IRPJ</t>
  </si>
  <si>
    <t>LUCRO PRESUMIDO</t>
  </si>
  <si>
    <t>Receita Bruta Total em 12 meses</t>
  </si>
  <si>
    <t>Alíquota</t>
  </si>
  <si>
    <t>Até R$ 180.000,00</t>
  </si>
  <si>
    <t>De R$ 180.000,01 a R$ 360.000,00</t>
  </si>
  <si>
    <t>De R$ 360.000,01 a R$ 720.000,00</t>
  </si>
  <si>
    <t>De R$ 720.000,01 a R$ 1.800.000,00</t>
  </si>
  <si>
    <t>De R$ 1.800.000,01 a R$ 3.600.000,00</t>
  </si>
  <si>
    <t>De R$ 3.600.000,01 a R$ 4.800.000,00</t>
  </si>
  <si>
    <t>SIMPLES NACIONAL</t>
  </si>
  <si>
    <t>ANUAL</t>
  </si>
  <si>
    <t>MENSAL</t>
  </si>
  <si>
    <t>ABATIMENTO</t>
  </si>
  <si>
    <t>ALIQ EFETIVA</t>
  </si>
  <si>
    <t>TABELA SIMPLES NACIONAL - ANEXO I</t>
  </si>
  <si>
    <t>ALIQUOTA ADICIONAL</t>
  </si>
  <si>
    <t>VALOR IRPJ ADICIONAL</t>
  </si>
  <si>
    <t>VALOR EXCEDIDO (LEI 9249 DE 26/12/1995)</t>
  </si>
  <si>
    <t>CSLL (REDUÇÃO BASE LUCRO PRESUMIDO)</t>
  </si>
  <si>
    <t>IRPJ  (REDUÇÃO BASE LUCRO PRESUMIDO)</t>
  </si>
  <si>
    <t>(VALOR DE VENDA - VALOR DE ENTRADA DO VEICULO) * (1 - REDUÇÃO BASE)</t>
  </si>
  <si>
    <t>Desconto</t>
  </si>
  <si>
    <t xml:space="preserve">Calculadora Tributária </t>
  </si>
  <si>
    <t>Revenda Veículos</t>
  </si>
  <si>
    <t>Vendas (valores de saída)</t>
  </si>
  <si>
    <t>Economia mensal</t>
  </si>
  <si>
    <t>Compras (valores de entrada)</t>
  </si>
  <si>
    <t>TOTAL IMPOSTOS POR REGIME TRIBUTÁRIO</t>
  </si>
  <si>
    <t>Preencha o valor total de vendas dos veículos</t>
  </si>
  <si>
    <t>Preencha o valor total de compra dos veículos</t>
  </si>
  <si>
    <t>SIGLA</t>
  </si>
  <si>
    <t>ALÍQUOTAS ICMS</t>
  </si>
  <si>
    <t>FCP</t>
  </si>
  <si>
    <t>TOTAL</t>
  </si>
  <si>
    <t>BASE FCP</t>
  </si>
  <si>
    <t>VALOR FCP</t>
  </si>
  <si>
    <t>Selecione o Estado</t>
  </si>
  <si>
    <t>Lucro sobre vendas</t>
  </si>
  <si>
    <t>Minas Gerais (MG)</t>
  </si>
  <si>
    <t>* Se for ultrapassado o limite de R$ 3.600.000,00 deve-se adicionar o valor de ICMS que será recolhido como regime de Lucro Presumido</t>
  </si>
  <si>
    <t>Operação Interna</t>
  </si>
  <si>
    <t>BENEFÍCIO FISCAL ESTADUAL</t>
  </si>
  <si>
    <t>COM REDUÇÃO DA BASE DE CÁLCULO DO ICMS</t>
  </si>
  <si>
    <t>SEM REDUÇÃO DA BASE DE CÁLCULO DO ICMS</t>
  </si>
  <si>
    <t>Possível restituição (5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</si>
</sst>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1" fillId="6" borderId="0" xfId="0" applyFont="1" applyFill="1"/>
    <xf numFmtId="9" fontId="0" fillId="0" borderId="0" xfId="0" applyNumberFormat="1"/>
    <xf numFmtId="164" fontId="0" fillId="0" borderId="0" xfId="0" applyNumberFormat="1"/>
    <xf numFmtId="0" fontId="1" fillId="7" borderId="0" xfId="0" applyFont="1" applyFill="1"/>
    <xf numFmtId="10" fontId="0" fillId="0" borderId="0" xfId="0" applyNumberFormat="1"/>
    <xf numFmtId="8" fontId="0" fillId="0" borderId="0" xfId="0" applyNumberFormat="1"/>
    <xf numFmtId="0" fontId="5" fillId="0" borderId="0" xfId="1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10" borderId="0" xfId="0" applyFont="1" applyFill="1"/>
    <xf numFmtId="10" fontId="0" fillId="0" borderId="0" xfId="0" applyNumberFormat="1" applyAlignment="1">
      <alignment horizontal="right"/>
    </xf>
    <xf numFmtId="10" fontId="1" fillId="7" borderId="0" xfId="0" applyNumberFormat="1" applyFont="1" applyFill="1"/>
    <xf numFmtId="0" fontId="6" fillId="0" borderId="0" xfId="0" applyFont="1"/>
    <xf numFmtId="0" fontId="3" fillId="0" borderId="0" xfId="0" applyFont="1"/>
    <xf numFmtId="164" fontId="6" fillId="0" borderId="0" xfId="0" applyNumberFormat="1" applyFont="1"/>
    <xf numFmtId="9" fontId="6" fillId="0" borderId="0" xfId="0" applyNumberFormat="1" applyFont="1"/>
    <xf numFmtId="10" fontId="6" fillId="0" borderId="0" xfId="0" applyNumberFormat="1" applyFont="1"/>
    <xf numFmtId="8" fontId="6" fillId="0" borderId="0" xfId="0" applyNumberFormat="1" applyFont="1"/>
    <xf numFmtId="0" fontId="7" fillId="0" borderId="0" xfId="0" applyFont="1"/>
    <xf numFmtId="0" fontId="8" fillId="11" borderId="0" xfId="0" applyFont="1" applyFill="1"/>
    <xf numFmtId="164" fontId="9" fillId="4" borderId="0" xfId="0" applyNumberFormat="1" applyFont="1" applyFill="1"/>
    <xf numFmtId="164" fontId="10" fillId="4" borderId="0" xfId="0" applyNumberFormat="1" applyFont="1" applyFill="1"/>
    <xf numFmtId="0" fontId="8" fillId="12" borderId="0" xfId="0" applyFont="1" applyFill="1"/>
    <xf numFmtId="164" fontId="8" fillId="12" borderId="0" xfId="0" applyNumberFormat="1" applyFont="1" applyFill="1"/>
    <xf numFmtId="0" fontId="0" fillId="0" borderId="1" xfId="0" applyBorder="1"/>
    <xf numFmtId="164" fontId="9" fillId="0" borderId="0" xfId="0" applyNumberFormat="1" applyFont="1"/>
    <xf numFmtId="0" fontId="6" fillId="0" borderId="1" xfId="0" applyFont="1" applyBorder="1"/>
    <xf numFmtId="164" fontId="2" fillId="0" borderId="0" xfId="0" applyNumberFormat="1" applyFont="1" applyAlignment="1">
      <alignment horizontal="right"/>
    </xf>
    <xf numFmtId="0" fontId="9" fillId="4" borderId="0" xfId="0" applyFont="1" applyFill="1" applyAlignment="1">
      <alignment horizontal="right"/>
    </xf>
    <xf numFmtId="10" fontId="3" fillId="0" borderId="1" xfId="0" applyNumberFormat="1" applyFont="1" applyBorder="1"/>
    <xf numFmtId="10" fontId="0" fillId="0" borderId="1" xfId="0" applyNumberFormat="1" applyBorder="1"/>
    <xf numFmtId="10" fontId="6" fillId="0" borderId="1" xfId="0" applyNumberFormat="1" applyFont="1" applyBorder="1"/>
    <xf numFmtId="10" fontId="3" fillId="14" borderId="1" xfId="0" applyNumberFormat="1" applyFont="1" applyFill="1" applyBorder="1"/>
    <xf numFmtId="164" fontId="3" fillId="0" borderId="0" xfId="0" applyNumberFormat="1" applyFont="1"/>
    <xf numFmtId="0" fontId="8" fillId="0" borderId="0" xfId="0" applyFont="1"/>
    <xf numFmtId="164" fontId="11" fillId="0" borderId="0" xfId="0" applyNumberFormat="1" applyFont="1"/>
    <xf numFmtId="164" fontId="1" fillId="6" borderId="0" xfId="0" applyNumberFormat="1" applyFont="1" applyFill="1"/>
    <xf numFmtId="0" fontId="8" fillId="10" borderId="0" xfId="0" applyFont="1" applyFill="1"/>
    <xf numFmtId="0" fontId="8" fillId="8" borderId="0" xfId="0" applyFont="1" applyFill="1"/>
    <xf numFmtId="0" fontId="8" fillId="7" borderId="0" xfId="0" applyFont="1" applyFill="1"/>
    <xf numFmtId="164" fontId="8" fillId="7" borderId="0" xfId="0" applyNumberFormat="1" applyFont="1" applyFill="1"/>
    <xf numFmtId="0" fontId="8" fillId="13" borderId="0" xfId="0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15" borderId="0" xfId="0" applyFont="1" applyFill="1"/>
    <xf numFmtId="164" fontId="8" fillId="15" borderId="0" xfId="0" applyNumberFormat="1" applyFont="1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6699FF"/>
      <color rgb="FF9966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695326</xdr:colOff>
      <xdr:row>0</xdr:row>
      <xdr:rowOff>57151</xdr:rowOff>
    </xdr:from>
    <xdr:to>
      <xdr:col>1</xdr:col>
      <xdr:colOff>1781175</xdr:colOff>
      <xdr:row>2</xdr:row>
      <xdr:rowOff>133550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1150D2-F761-41E7-9100-CA83C111E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57151"/>
          <a:ext cx="1085849" cy="609799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6</xdr:row>
      <xdr:rowOff>38100</xdr:rowOff>
    </xdr:from>
    <xdr:to>
      <xdr:col>2</xdr:col>
      <xdr:colOff>485775</xdr:colOff>
      <xdr:row>6</xdr:row>
      <xdr:rowOff>219075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D157D343-EE97-4657-A4BB-9A0188A97265}"/>
            </a:ext>
          </a:extLst>
        </xdr:cNvPr>
        <xdr:cNvSpPr/>
      </xdr:nvSpPr>
      <xdr:spPr>
        <a:xfrm>
          <a:off x="4762500" y="1619250"/>
          <a:ext cx="3619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123825</xdr:colOff>
      <xdr:row>8</xdr:row>
      <xdr:rowOff>38100</xdr:rowOff>
    </xdr:from>
    <xdr:to>
      <xdr:col>2</xdr:col>
      <xdr:colOff>485775</xdr:colOff>
      <xdr:row>8</xdr:row>
      <xdr:rowOff>228600</xdr:rowOff>
    </xdr:to>
    <xdr:sp macro="" textlink="">
      <xdr:nvSpPr>
        <xdr:cNvPr id="4" name="Seta: para a Esquerda 3">
          <a:extLst>
            <a:ext uri="{FF2B5EF4-FFF2-40B4-BE49-F238E27FC236}">
              <a16:creationId xmlns:a16="http://schemas.microsoft.com/office/drawing/2014/main" id="{3CCCE4D6-F4B1-4B66-8A5D-FFF3FDC70A80}"/>
            </a:ext>
          </a:extLst>
        </xdr:cNvPr>
        <xdr:cNvSpPr/>
      </xdr:nvSpPr>
      <xdr:spPr>
        <a:xfrm>
          <a:off x="4762500" y="2390775"/>
          <a:ext cx="361950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145931</xdr:colOff>
      <xdr:row>12</xdr:row>
      <xdr:rowOff>142875</xdr:rowOff>
    </xdr:from>
    <xdr:to>
      <xdr:col>3</xdr:col>
      <xdr:colOff>1725815</xdr:colOff>
      <xdr:row>22</xdr:row>
      <xdr:rowOff>139363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9CFF1F6-582E-4DF7-A393-94574BA40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356" y="2895600"/>
          <a:ext cx="2646684" cy="2244388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4</xdr:row>
      <xdr:rowOff>38100</xdr:rowOff>
    </xdr:from>
    <xdr:to>
      <xdr:col>2</xdr:col>
      <xdr:colOff>485775</xdr:colOff>
      <xdr:row>4</xdr:row>
      <xdr:rowOff>219075</xdr:rowOff>
    </xdr:to>
    <xdr:sp macro="" textlink="">
      <xdr:nvSpPr>
        <xdr:cNvPr id="6" name="Seta: para a Esquerda 5">
          <a:extLst>
            <a:ext uri="{FF2B5EF4-FFF2-40B4-BE49-F238E27FC236}">
              <a16:creationId xmlns:a16="http://schemas.microsoft.com/office/drawing/2014/main" id="{FAE959C3-F2B1-4B90-B88B-4F71B72616D6}"/>
            </a:ext>
          </a:extLst>
        </xdr:cNvPr>
        <xdr:cNvSpPr/>
      </xdr:nvSpPr>
      <xdr:spPr>
        <a:xfrm>
          <a:off x="4762500" y="990600"/>
          <a:ext cx="3619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97F4-495C-4828-9F1D-9441FF17CC0D}">
  <dimension ref="A1:I23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56" bestFit="1" customWidth="1"/>
    <col min="2" max="2" width="29.28515625" style="5" bestFit="1" customWidth="1"/>
    <col min="3" max="3" width="16" style="5" customWidth="1"/>
    <col min="4" max="4" width="37.7109375" customWidth="1"/>
    <col min="5" max="5" width="18.7109375" customWidth="1"/>
    <col min="8" max="8" width="11.7109375" bestFit="1" customWidth="1"/>
  </cols>
  <sheetData>
    <row r="1" spans="1:9" ht="21" x14ac:dyDescent="0.35">
      <c r="A1" s="22" t="s">
        <v>99</v>
      </c>
    </row>
    <row r="2" spans="1:9" ht="21" x14ac:dyDescent="0.35">
      <c r="A2" s="22" t="s">
        <v>117</v>
      </c>
    </row>
    <row r="3" spans="1:9" ht="21" x14ac:dyDescent="0.35">
      <c r="A3" s="22" t="s">
        <v>100</v>
      </c>
    </row>
    <row r="4" spans="1:9" ht="12" customHeight="1" x14ac:dyDescent="0.35">
      <c r="A4" s="22"/>
    </row>
    <row r="5" spans="1:9" ht="18.75" x14ac:dyDescent="0.3">
      <c r="A5" s="23" t="s">
        <v>3</v>
      </c>
      <c r="B5" s="32" t="s">
        <v>115</v>
      </c>
    </row>
    <row r="6" spans="1:9" ht="18.75" x14ac:dyDescent="0.3">
      <c r="A6" s="37" t="s">
        <v>113</v>
      </c>
      <c r="D6" s="38"/>
      <c r="E6" s="39"/>
    </row>
    <row r="7" spans="1:9" ht="18.75" x14ac:dyDescent="0.3">
      <c r="A7" s="23" t="s">
        <v>103</v>
      </c>
      <c r="B7" s="24">
        <v>180000</v>
      </c>
    </row>
    <row r="8" spans="1:9" ht="21" x14ac:dyDescent="0.35">
      <c r="A8" s="37" t="s">
        <v>106</v>
      </c>
      <c r="I8" s="22"/>
    </row>
    <row r="9" spans="1:9" s="5" customFormat="1" ht="18.75" x14ac:dyDescent="0.3">
      <c r="A9" s="23" t="s">
        <v>101</v>
      </c>
      <c r="B9" s="25">
        <v>200000</v>
      </c>
      <c r="D9"/>
      <c r="E9"/>
    </row>
    <row r="10" spans="1:9" s="5" customFormat="1" x14ac:dyDescent="0.25">
      <c r="A10" s="37" t="s">
        <v>105</v>
      </c>
      <c r="D10"/>
      <c r="E10"/>
    </row>
    <row r="11" spans="1:9" s="5" customFormat="1" ht="18.75" x14ac:dyDescent="0.3">
      <c r="A11" s="43" t="s">
        <v>114</v>
      </c>
      <c r="B11" s="44">
        <f>B9-B7</f>
        <v>20000</v>
      </c>
      <c r="D11"/>
    </row>
    <row r="12" spans="1:9" s="5" customFormat="1" ht="12" customHeight="1" x14ac:dyDescent="0.25">
      <c r="A12" s="2"/>
      <c r="D12"/>
    </row>
    <row r="13" spans="1:9" s="5" customFormat="1" ht="18.75" x14ac:dyDescent="0.3">
      <c r="A13" s="45" t="s">
        <v>104</v>
      </c>
      <c r="B13" s="45"/>
      <c r="D13"/>
    </row>
    <row r="14" spans="1:9" s="5" customFormat="1" ht="18.75" x14ac:dyDescent="0.3">
      <c r="A14" s="41" t="s">
        <v>77</v>
      </c>
      <c r="B14" s="29">
        <f>CÁLCULOS!B2</f>
        <v>6290.08</v>
      </c>
      <c r="D14"/>
    </row>
    <row r="15" spans="1:9" s="5" customFormat="1" ht="18.75" x14ac:dyDescent="0.3">
      <c r="A15" s="42" t="s">
        <v>86</v>
      </c>
      <c r="B15" s="29">
        <f>CÁLCULOS!E2</f>
        <v>21325</v>
      </c>
      <c r="D15"/>
    </row>
    <row r="16" spans="1:9" s="5" customFormat="1" ht="18.75" x14ac:dyDescent="0.3">
      <c r="A16" s="26" t="s">
        <v>102</v>
      </c>
      <c r="B16" s="27">
        <f>B14-B15</f>
        <v>-15034.92</v>
      </c>
      <c r="D16"/>
      <c r="E16"/>
    </row>
    <row r="17" spans="1:5" s="5" customFormat="1" x14ac:dyDescent="0.25">
      <c r="A17" s="2"/>
      <c r="B17" s="31" t="str">
        <f>IF(B14&lt;B15,"LUCRO PRESUMIDO","SIMPLES NACIONAL")</f>
        <v>LUCRO PRESUMIDO</v>
      </c>
      <c r="D17"/>
      <c r="E17"/>
    </row>
    <row r="18" spans="1:5" s="5" customFormat="1" ht="12" customHeight="1" x14ac:dyDescent="0.25">
      <c r="A18" s="2"/>
      <c r="B18" s="31"/>
      <c r="D18"/>
      <c r="E18"/>
    </row>
    <row r="19" spans="1:5" s="5" customFormat="1" ht="18.75" x14ac:dyDescent="0.3">
      <c r="A19" s="45" t="s">
        <v>118</v>
      </c>
      <c r="B19" s="45"/>
      <c r="D19"/>
      <c r="E19"/>
    </row>
    <row r="20" spans="1:5" s="5" customFormat="1" ht="18.75" x14ac:dyDescent="0.3">
      <c r="A20" s="41" t="s">
        <v>119</v>
      </c>
      <c r="B20" s="29">
        <f>CÁLCULOS!B11</f>
        <v>1000.0800000000002</v>
      </c>
      <c r="D20"/>
      <c r="E20"/>
    </row>
    <row r="21" spans="1:5" s="5" customFormat="1" ht="18.75" x14ac:dyDescent="0.3">
      <c r="A21" s="42" t="s">
        <v>120</v>
      </c>
      <c r="B21" s="29">
        <f>CÁLCULOS!B7*CÁLCULOS!B10</f>
        <v>3600</v>
      </c>
      <c r="D21"/>
      <c r="E21"/>
    </row>
    <row r="22" spans="1:5" s="5" customFormat="1" ht="18.75" x14ac:dyDescent="0.3">
      <c r="A22" s="26" t="s">
        <v>102</v>
      </c>
      <c r="B22" s="27">
        <f>B20-B21</f>
        <v>-2599.92</v>
      </c>
      <c r="D22"/>
      <c r="E22"/>
    </row>
    <row r="23" spans="1:5" s="5" customFormat="1" ht="18.75" x14ac:dyDescent="0.3">
      <c r="A23" s="49" t="s">
        <v>121</v>
      </c>
      <c r="B23" s="50">
        <f>B22*60</f>
        <v>-155995.20000000001</v>
      </c>
      <c r="D23"/>
      <c r="E23"/>
    </row>
  </sheetData>
  <mergeCells count="2">
    <mergeCell ref="A13:B13"/>
    <mergeCell ref="A19:B19"/>
  </mergeCells>
  <pageMargins left="0.511811024" right="0.511811024" top="0.78740157499999996" bottom="0.78740157499999996" header="0.31496062000000002" footer="0.31496062000000002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203347-48EE-4F19-A2FA-C157A53F13B3}">
          <x14:formula1>
            <xm:f>TABELAS!$C$3:$C$29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35E8-BA6C-49CF-BE4A-D8A6B5B84F13}">
  <dimension ref="A1:E31"/>
  <sheetViews>
    <sheetView zoomScaleNormal="100" workbookViewId="0">
      <selection activeCell="D12" sqref="D12"/>
    </sheetView>
  </sheetViews>
  <sheetFormatPr defaultRowHeight="15" x14ac:dyDescent="0.25"/>
  <cols>
    <col min="1" max="1" width="55.7109375" customWidth="1"/>
    <col min="2" max="2" width="12.7109375" bestFit="1" customWidth="1"/>
    <col min="3" max="3" width="2.7109375" customWidth="1"/>
    <col min="4" max="4" width="24.7109375" customWidth="1"/>
    <col min="5" max="5" width="27.28515625" customWidth="1"/>
  </cols>
  <sheetData>
    <row r="1" spans="1:5" x14ac:dyDescent="0.25">
      <c r="A1" s="13" t="s">
        <v>77</v>
      </c>
      <c r="B1" s="13"/>
      <c r="C1" s="12"/>
      <c r="D1" s="46" t="s">
        <v>86</v>
      </c>
      <c r="E1" s="46"/>
    </row>
    <row r="2" spans="1:5" x14ac:dyDescent="0.25">
      <c r="A2" s="3" t="s">
        <v>70</v>
      </c>
      <c r="B2" s="40">
        <f>IF(B11+B14+B17+B21+B25+B28+B31&gt;0,B11+B14+B17+B21+B25+B28+B31,0)</f>
        <v>6290.08</v>
      </c>
      <c r="D2" s="3" t="s">
        <v>70</v>
      </c>
      <c r="E2" s="40">
        <f>E5*E8</f>
        <v>21325</v>
      </c>
    </row>
    <row r="3" spans="1:5" x14ac:dyDescent="0.25">
      <c r="A3" s="6" t="s">
        <v>0</v>
      </c>
      <c r="B3" s="6"/>
      <c r="D3" s="6" t="s">
        <v>86</v>
      </c>
      <c r="E3" s="6"/>
    </row>
    <row r="4" spans="1:5" x14ac:dyDescent="0.25">
      <c r="A4" s="10" t="s">
        <v>97</v>
      </c>
      <c r="B4" s="10"/>
      <c r="D4" s="2" t="s">
        <v>87</v>
      </c>
      <c r="E4" s="5">
        <f>B6*12</f>
        <v>2400000</v>
      </c>
    </row>
    <row r="5" spans="1:5" x14ac:dyDescent="0.25">
      <c r="A5" s="2" t="s">
        <v>59</v>
      </c>
      <c r="B5" s="5">
        <f>RESULTADO!B7</f>
        <v>180000</v>
      </c>
      <c r="D5" s="2" t="s">
        <v>88</v>
      </c>
      <c r="E5" s="5">
        <f>B6</f>
        <v>200000</v>
      </c>
    </row>
    <row r="6" spans="1:5" x14ac:dyDescent="0.25">
      <c r="A6" s="2" t="s">
        <v>58</v>
      </c>
      <c r="B6" s="5">
        <f>RESULTADO!B9</f>
        <v>200000</v>
      </c>
      <c r="D6" s="2" t="s">
        <v>66</v>
      </c>
      <c r="E6" s="14">
        <f>IF(E4&gt;3600000,TABELAS!I8,IF(E4&gt;1800000,TABELAS!I7,IF(E4&gt;720000,TABELAS!I6,IF(E4&gt;360000,TABELAS!I5,IF(E4&gt;180000,TABELAS!I4,IF(E4&lt;=180000,TABELAS!I3,"Verificar valor anual"))))))</f>
        <v>0.14299999999999999</v>
      </c>
    </row>
    <row r="7" spans="1:5" x14ac:dyDescent="0.25">
      <c r="A7" s="2" t="s">
        <v>64</v>
      </c>
      <c r="B7" s="5">
        <f>IF(B6-B5&lt;=0,0,B6-B5)</f>
        <v>20000</v>
      </c>
      <c r="D7" s="2" t="s">
        <v>89</v>
      </c>
      <c r="E7" s="5">
        <f>VLOOKUP(E6,TABELAS!I3:J8,2,0)</f>
        <v>87300</v>
      </c>
    </row>
    <row r="8" spans="1:5" x14ac:dyDescent="0.25">
      <c r="A8" s="2" t="s">
        <v>60</v>
      </c>
      <c r="B8" s="7">
        <v>0.72219999999999995</v>
      </c>
      <c r="D8" s="2" t="s">
        <v>90</v>
      </c>
      <c r="E8" s="7">
        <f>((E4*E6)-E7)/E4</f>
        <v>0.106625</v>
      </c>
    </row>
    <row r="9" spans="1:5" x14ac:dyDescent="0.25">
      <c r="A9" s="2" t="s">
        <v>63</v>
      </c>
      <c r="B9" s="5">
        <f>B7*(1-B8)</f>
        <v>5556.0000000000009</v>
      </c>
      <c r="D9" s="17"/>
      <c r="E9" s="16"/>
    </row>
    <row r="10" spans="1:5" x14ac:dyDescent="0.25">
      <c r="A10" s="2" t="s">
        <v>61</v>
      </c>
      <c r="B10" s="7">
        <f>VLOOKUP(RESULTADO!B5,TABELAS!$C$3:$F$29,3,0)</f>
        <v>0.18</v>
      </c>
      <c r="D10" s="16"/>
      <c r="E10" s="16"/>
    </row>
    <row r="11" spans="1:5" x14ac:dyDescent="0.25">
      <c r="A11" s="2" t="s">
        <v>62</v>
      </c>
      <c r="B11" s="5">
        <f>B9*B10</f>
        <v>1000.0800000000002</v>
      </c>
      <c r="D11" s="17"/>
      <c r="E11" s="16"/>
    </row>
    <row r="12" spans="1:5" x14ac:dyDescent="0.25">
      <c r="A12" s="6" t="s">
        <v>1</v>
      </c>
      <c r="B12" s="15">
        <v>6.4999999999999997E-3</v>
      </c>
      <c r="D12" s="16"/>
      <c r="E12" s="16"/>
    </row>
    <row r="13" spans="1:5" x14ac:dyDescent="0.25">
      <c r="A13" s="2" t="s">
        <v>65</v>
      </c>
      <c r="B13" s="5">
        <f>B7</f>
        <v>20000</v>
      </c>
      <c r="D13" s="17"/>
      <c r="E13" s="17"/>
    </row>
    <row r="14" spans="1:5" x14ac:dyDescent="0.25">
      <c r="A14" s="2" t="s">
        <v>67</v>
      </c>
      <c r="B14" s="5">
        <f>B13*B12</f>
        <v>130</v>
      </c>
      <c r="D14" s="17"/>
      <c r="E14" s="16"/>
    </row>
    <row r="15" spans="1:5" x14ac:dyDescent="0.25">
      <c r="A15" s="6" t="s">
        <v>2</v>
      </c>
      <c r="B15" s="15">
        <v>0.03</v>
      </c>
      <c r="D15" s="17"/>
      <c r="E15" s="18"/>
    </row>
    <row r="16" spans="1:5" x14ac:dyDescent="0.25">
      <c r="A16" s="2" t="s">
        <v>68</v>
      </c>
      <c r="B16" s="5">
        <f>B7</f>
        <v>20000</v>
      </c>
      <c r="D16" s="17"/>
      <c r="E16" s="18"/>
    </row>
    <row r="17" spans="1:5" x14ac:dyDescent="0.25">
      <c r="A17" s="2" t="s">
        <v>69</v>
      </c>
      <c r="B17" s="5">
        <f>B16*B15</f>
        <v>600</v>
      </c>
      <c r="D17" s="17"/>
      <c r="E17" s="18"/>
    </row>
    <row r="18" spans="1:5" x14ac:dyDescent="0.25">
      <c r="A18" s="6" t="s">
        <v>95</v>
      </c>
      <c r="B18" s="15">
        <v>0.12</v>
      </c>
      <c r="D18" s="17"/>
      <c r="E18" s="16"/>
    </row>
    <row r="19" spans="1:5" x14ac:dyDescent="0.25">
      <c r="A19" s="2" t="s">
        <v>71</v>
      </c>
      <c r="B19" s="5">
        <f>B6*B18</f>
        <v>24000</v>
      </c>
      <c r="D19" s="17"/>
      <c r="E19" s="18"/>
    </row>
    <row r="20" spans="1:5" x14ac:dyDescent="0.25">
      <c r="A20" s="2" t="s">
        <v>72</v>
      </c>
      <c r="B20" s="7">
        <v>0.09</v>
      </c>
      <c r="D20" s="16"/>
      <c r="E20" s="16"/>
    </row>
    <row r="21" spans="1:5" x14ac:dyDescent="0.25">
      <c r="A21" s="2" t="s">
        <v>73</v>
      </c>
      <c r="B21" s="5">
        <f>B19*B20</f>
        <v>2160</v>
      </c>
      <c r="D21" s="16"/>
      <c r="E21" s="16"/>
    </row>
    <row r="22" spans="1:5" x14ac:dyDescent="0.25">
      <c r="A22" s="6" t="s">
        <v>96</v>
      </c>
      <c r="B22" s="15">
        <v>0.08</v>
      </c>
      <c r="D22" s="16"/>
      <c r="E22" s="16"/>
    </row>
    <row r="23" spans="1:5" x14ac:dyDescent="0.25">
      <c r="A23" s="2" t="s">
        <v>74</v>
      </c>
      <c r="B23" s="5">
        <f>B6*B22</f>
        <v>16000</v>
      </c>
      <c r="D23" s="16"/>
      <c r="E23" s="16"/>
    </row>
    <row r="24" spans="1:5" x14ac:dyDescent="0.25">
      <c r="A24" s="2" t="s">
        <v>75</v>
      </c>
      <c r="B24" s="7">
        <v>0.15</v>
      </c>
      <c r="D24" s="16"/>
      <c r="E24" s="16"/>
    </row>
    <row r="25" spans="1:5" x14ac:dyDescent="0.25">
      <c r="A25" s="2" t="s">
        <v>76</v>
      </c>
      <c r="B25" s="5">
        <f>B23*B24</f>
        <v>2400</v>
      </c>
      <c r="D25" s="16"/>
      <c r="E25" s="16"/>
    </row>
    <row r="26" spans="1:5" x14ac:dyDescent="0.25">
      <c r="A26" s="2" t="s">
        <v>92</v>
      </c>
      <c r="B26" s="7">
        <v>0.1</v>
      </c>
      <c r="D26" s="16"/>
      <c r="E26" s="16"/>
    </row>
    <row r="27" spans="1:5" x14ac:dyDescent="0.25">
      <c r="A27" s="9" t="s">
        <v>94</v>
      </c>
      <c r="B27" s="5">
        <v>20000</v>
      </c>
      <c r="D27" s="16"/>
      <c r="E27" s="16"/>
    </row>
    <row r="28" spans="1:5" x14ac:dyDescent="0.25">
      <c r="A28" s="2" t="s">
        <v>93</v>
      </c>
      <c r="B28" s="5">
        <f>IF(B23&gt;B27,(B23-B27)*B26,0)</f>
        <v>0</v>
      </c>
      <c r="D28" s="16"/>
      <c r="E28" s="16"/>
    </row>
    <row r="29" spans="1:5" x14ac:dyDescent="0.25">
      <c r="A29" s="6" t="s">
        <v>109</v>
      </c>
      <c r="B29" s="15">
        <f>VLOOKUP(RESULTADO!B5,TABELAS!$C$3:$F$29,4,0)</f>
        <v>0</v>
      </c>
      <c r="D29" s="16"/>
      <c r="E29" s="16"/>
    </row>
    <row r="30" spans="1:5" x14ac:dyDescent="0.25">
      <c r="A30" s="2" t="s">
        <v>111</v>
      </c>
      <c r="B30" s="5">
        <f>B9</f>
        <v>5556.0000000000009</v>
      </c>
    </row>
    <row r="31" spans="1:5" x14ac:dyDescent="0.25">
      <c r="A31" s="2" t="s">
        <v>112</v>
      </c>
      <c r="B31" s="5">
        <f>B30*B29</f>
        <v>0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23AD-11D1-47B5-905F-A3CFECCFDD23}">
  <dimension ref="A1:J30"/>
  <sheetViews>
    <sheetView zoomScaleNormal="100" workbookViewId="0">
      <selection activeCell="H15" sqref="H15"/>
    </sheetView>
  </sheetViews>
  <sheetFormatPr defaultRowHeight="15" x14ac:dyDescent="0.25"/>
  <cols>
    <col min="1" max="1" width="10.7109375" customWidth="1"/>
    <col min="2" max="3" width="25.7109375" customWidth="1"/>
    <col min="4" max="4" width="10.7109375" customWidth="1"/>
    <col min="5" max="6" width="7.7109375" customWidth="1"/>
    <col min="8" max="8" width="33" bestFit="1" customWidth="1"/>
    <col min="9" max="9" width="8.42578125" bestFit="1" customWidth="1"/>
    <col min="10" max="10" width="12.7109375" bestFit="1" customWidth="1"/>
  </cols>
  <sheetData>
    <row r="1" spans="1:10" x14ac:dyDescent="0.25">
      <c r="A1" s="48" t="s">
        <v>108</v>
      </c>
      <c r="B1" s="48"/>
      <c r="C1" s="48"/>
      <c r="D1" s="48"/>
      <c r="E1" s="11"/>
      <c r="F1" s="11"/>
      <c r="H1" s="47" t="s">
        <v>91</v>
      </c>
      <c r="I1" s="47"/>
      <c r="J1" s="47"/>
    </row>
    <row r="2" spans="1:10" x14ac:dyDescent="0.25">
      <c r="A2" s="1" t="s">
        <v>107</v>
      </c>
      <c r="B2" s="1" t="s">
        <v>3</v>
      </c>
      <c r="C2" s="1"/>
      <c r="D2" s="1" t="s">
        <v>110</v>
      </c>
      <c r="E2" s="1" t="s">
        <v>0</v>
      </c>
      <c r="F2" s="1" t="s">
        <v>109</v>
      </c>
      <c r="H2" s="3" t="s">
        <v>78</v>
      </c>
      <c r="I2" s="3" t="s">
        <v>79</v>
      </c>
      <c r="J2" s="3" t="s">
        <v>98</v>
      </c>
    </row>
    <row r="3" spans="1:10" x14ac:dyDescent="0.25">
      <c r="A3" s="28" t="s">
        <v>5</v>
      </c>
      <c r="B3" s="28" t="s">
        <v>6</v>
      </c>
      <c r="C3" s="28" t="str">
        <f>B3&amp;" ("&amp;A3&amp;")"</f>
        <v>Acre (AC)</v>
      </c>
      <c r="D3" s="33">
        <f t="shared" ref="D3:D12" si="0">E3+F3</f>
        <v>0.17</v>
      </c>
      <c r="E3" s="34">
        <v>0.17</v>
      </c>
      <c r="F3" s="35">
        <v>0</v>
      </c>
      <c r="H3" t="s">
        <v>80</v>
      </c>
      <c r="I3" s="4">
        <v>0.04</v>
      </c>
      <c r="J3">
        <v>0</v>
      </c>
    </row>
    <row r="4" spans="1:10" x14ac:dyDescent="0.25">
      <c r="A4" s="28" t="s">
        <v>7</v>
      </c>
      <c r="B4" s="28" t="s">
        <v>8</v>
      </c>
      <c r="C4" s="28" t="str">
        <f t="shared" ref="C4:C29" si="1">B4&amp;" ("&amp;A4&amp;")"</f>
        <v>Alagoas (AL)</v>
      </c>
      <c r="D4" s="36">
        <f t="shared" si="0"/>
        <v>0.18000000000000002</v>
      </c>
      <c r="E4" s="34">
        <v>0.17</v>
      </c>
      <c r="F4" s="35">
        <v>0.01</v>
      </c>
      <c r="H4" t="s">
        <v>81</v>
      </c>
      <c r="I4" s="7">
        <v>7.2999999999999995E-2</v>
      </c>
      <c r="J4" s="8">
        <v>5940</v>
      </c>
    </row>
    <row r="5" spans="1:10" x14ac:dyDescent="0.25">
      <c r="A5" s="28" t="s">
        <v>9</v>
      </c>
      <c r="B5" s="28" t="s">
        <v>10</v>
      </c>
      <c r="C5" s="28" t="str">
        <f t="shared" si="1"/>
        <v>Amapá (AP)</v>
      </c>
      <c r="D5" s="33">
        <f t="shared" si="0"/>
        <v>0.18</v>
      </c>
      <c r="E5" s="34">
        <v>0.18</v>
      </c>
      <c r="F5" s="35">
        <v>0</v>
      </c>
      <c r="H5" t="s">
        <v>82</v>
      </c>
      <c r="I5" s="7">
        <v>9.5000000000000001E-2</v>
      </c>
      <c r="J5" s="8">
        <v>13860</v>
      </c>
    </row>
    <row r="6" spans="1:10" x14ac:dyDescent="0.25">
      <c r="A6" s="28" t="s">
        <v>11</v>
      </c>
      <c r="B6" s="28" t="s">
        <v>12</v>
      </c>
      <c r="C6" s="28" t="str">
        <f t="shared" si="1"/>
        <v>Amazonas (AM)</v>
      </c>
      <c r="D6" s="33">
        <f t="shared" si="0"/>
        <v>0.18</v>
      </c>
      <c r="E6" s="34">
        <v>0.18</v>
      </c>
      <c r="F6" s="35">
        <v>0</v>
      </c>
      <c r="H6" t="s">
        <v>83</v>
      </c>
      <c r="I6" s="7">
        <v>0.107</v>
      </c>
      <c r="J6" s="8">
        <v>22500</v>
      </c>
    </row>
    <row r="7" spans="1:10" x14ac:dyDescent="0.25">
      <c r="A7" s="28" t="s">
        <v>13</v>
      </c>
      <c r="B7" s="28" t="s">
        <v>14</v>
      </c>
      <c r="C7" s="28" t="str">
        <f t="shared" si="1"/>
        <v>Bahia (BA)</v>
      </c>
      <c r="D7" s="33">
        <f t="shared" si="0"/>
        <v>0.18</v>
      </c>
      <c r="E7" s="34">
        <v>0.18</v>
      </c>
      <c r="F7" s="35">
        <v>0</v>
      </c>
      <c r="H7" t="s">
        <v>84</v>
      </c>
      <c r="I7" s="7">
        <v>0.14299999999999999</v>
      </c>
      <c r="J7" s="8">
        <v>87300</v>
      </c>
    </row>
    <row r="8" spans="1:10" x14ac:dyDescent="0.25">
      <c r="A8" s="28" t="s">
        <v>15</v>
      </c>
      <c r="B8" s="28" t="s">
        <v>16</v>
      </c>
      <c r="C8" s="28" t="str">
        <f t="shared" si="1"/>
        <v>Ceara (CE)</v>
      </c>
      <c r="D8" s="33">
        <f t="shared" si="0"/>
        <v>0.18</v>
      </c>
      <c r="E8" s="34">
        <v>0.18</v>
      </c>
      <c r="F8" s="35">
        <v>0</v>
      </c>
      <c r="H8" t="s">
        <v>85</v>
      </c>
      <c r="I8" s="4">
        <v>0.19</v>
      </c>
      <c r="J8" s="8">
        <v>378000</v>
      </c>
    </row>
    <row r="9" spans="1:10" x14ac:dyDescent="0.25">
      <c r="A9" s="28" t="s">
        <v>17</v>
      </c>
      <c r="B9" s="28" t="s">
        <v>18</v>
      </c>
      <c r="C9" s="28" t="str">
        <f t="shared" si="1"/>
        <v>Distrito Federal (DF)</v>
      </c>
      <c r="D9" s="33">
        <f t="shared" si="0"/>
        <v>0.18</v>
      </c>
      <c r="E9" s="34">
        <v>0.18</v>
      </c>
      <c r="F9" s="35">
        <v>0</v>
      </c>
      <c r="H9" s="16"/>
      <c r="I9" s="16"/>
      <c r="J9" s="16"/>
    </row>
    <row r="10" spans="1:10" x14ac:dyDescent="0.25">
      <c r="A10" s="28" t="s">
        <v>19</v>
      </c>
      <c r="B10" s="28" t="s">
        <v>20</v>
      </c>
      <c r="C10" s="28" t="str">
        <f t="shared" si="1"/>
        <v>Espírito Santo (ES)</v>
      </c>
      <c r="D10" s="33">
        <f t="shared" si="0"/>
        <v>0.17</v>
      </c>
      <c r="E10" s="34">
        <v>0.17</v>
      </c>
      <c r="F10" s="35">
        <v>0</v>
      </c>
      <c r="H10" s="16" t="s">
        <v>116</v>
      </c>
      <c r="I10" s="16"/>
      <c r="J10" s="16"/>
    </row>
    <row r="11" spans="1:10" x14ac:dyDescent="0.25">
      <c r="A11" s="28" t="s">
        <v>21</v>
      </c>
      <c r="B11" s="28" t="s">
        <v>22</v>
      </c>
      <c r="C11" s="28" t="str">
        <f t="shared" si="1"/>
        <v>Goiás (GO)</v>
      </c>
      <c r="D11" s="33">
        <f t="shared" si="0"/>
        <v>0.17</v>
      </c>
      <c r="E11" s="34">
        <v>0.17</v>
      </c>
      <c r="F11" s="35">
        <v>0</v>
      </c>
      <c r="H11" s="16"/>
      <c r="I11" s="16"/>
      <c r="J11" s="16"/>
    </row>
    <row r="12" spans="1:10" x14ac:dyDescent="0.25">
      <c r="A12" s="28" t="s">
        <v>23</v>
      </c>
      <c r="B12" s="28" t="s">
        <v>24</v>
      </c>
      <c r="C12" s="28" t="str">
        <f t="shared" si="1"/>
        <v>Maranhão (MA)</v>
      </c>
      <c r="D12" s="33">
        <f t="shared" si="0"/>
        <v>0.18</v>
      </c>
      <c r="E12" s="34">
        <v>0.18</v>
      </c>
      <c r="F12" s="35">
        <v>0</v>
      </c>
      <c r="H12" s="16"/>
      <c r="I12" s="16"/>
      <c r="J12" s="16"/>
    </row>
    <row r="13" spans="1:10" x14ac:dyDescent="0.25">
      <c r="A13" s="30" t="s">
        <v>4</v>
      </c>
      <c r="B13" s="30" t="s">
        <v>29</v>
      </c>
      <c r="C13" s="28" t="str">
        <f t="shared" si="1"/>
        <v>Minas Gerais (MG)</v>
      </c>
      <c r="D13" s="33">
        <f>E13+F13</f>
        <v>0.18</v>
      </c>
      <c r="E13" s="35">
        <v>0.18</v>
      </c>
      <c r="F13" s="35">
        <v>0</v>
      </c>
      <c r="H13" s="16"/>
      <c r="I13" s="19"/>
      <c r="J13" s="16"/>
    </row>
    <row r="14" spans="1:10" x14ac:dyDescent="0.25">
      <c r="A14" s="28" t="s">
        <v>25</v>
      </c>
      <c r="B14" s="28" t="s">
        <v>26</v>
      </c>
      <c r="C14" s="28" t="str">
        <f t="shared" si="1"/>
        <v>Mato Grosso (MT)</v>
      </c>
      <c r="D14" s="33">
        <f t="shared" ref="D14:D29" si="2">E14+F14</f>
        <v>0.17</v>
      </c>
      <c r="E14" s="34">
        <v>0.17</v>
      </c>
      <c r="F14" s="35">
        <v>0</v>
      </c>
      <c r="H14" s="16"/>
      <c r="I14" s="20"/>
      <c r="J14" s="21"/>
    </row>
    <row r="15" spans="1:10" x14ac:dyDescent="0.25">
      <c r="A15" s="28" t="s">
        <v>27</v>
      </c>
      <c r="B15" s="28" t="s">
        <v>28</v>
      </c>
      <c r="C15" s="28" t="str">
        <f t="shared" si="1"/>
        <v>Mato Grosso do Sul (MS)</v>
      </c>
      <c r="D15" s="33">
        <f t="shared" si="2"/>
        <v>0.17</v>
      </c>
      <c r="E15" s="34">
        <v>0.17</v>
      </c>
      <c r="F15" s="35">
        <v>0</v>
      </c>
      <c r="H15" s="16"/>
      <c r="I15" s="20"/>
      <c r="J15" s="21"/>
    </row>
    <row r="16" spans="1:10" x14ac:dyDescent="0.25">
      <c r="A16" s="28" t="s">
        <v>30</v>
      </c>
      <c r="B16" s="28" t="s">
        <v>31</v>
      </c>
      <c r="C16" s="28" t="str">
        <f t="shared" si="1"/>
        <v>Pará (PA)</v>
      </c>
      <c r="D16" s="33">
        <f t="shared" si="2"/>
        <v>0.17</v>
      </c>
      <c r="E16" s="34">
        <v>0.17</v>
      </c>
      <c r="F16" s="35">
        <v>0</v>
      </c>
      <c r="H16" s="16"/>
      <c r="I16" s="19"/>
      <c r="J16" s="21"/>
    </row>
    <row r="17" spans="1:10" x14ac:dyDescent="0.25">
      <c r="A17" s="28" t="s">
        <v>32</v>
      </c>
      <c r="B17" s="28" t="s">
        <v>33</v>
      </c>
      <c r="C17" s="28" t="str">
        <f t="shared" si="1"/>
        <v>Paraíba (PB)</v>
      </c>
      <c r="D17" s="33">
        <f t="shared" si="2"/>
        <v>0.18</v>
      </c>
      <c r="E17" s="34">
        <v>0.18</v>
      </c>
      <c r="F17" s="35">
        <v>0</v>
      </c>
      <c r="H17" s="16"/>
      <c r="I17" s="19"/>
      <c r="J17" s="21"/>
    </row>
    <row r="18" spans="1:10" x14ac:dyDescent="0.25">
      <c r="A18" s="28" t="s">
        <v>34</v>
      </c>
      <c r="B18" s="28" t="s">
        <v>35</v>
      </c>
      <c r="C18" s="28" t="str">
        <f t="shared" si="1"/>
        <v>Paraná (PR)</v>
      </c>
      <c r="D18" s="33">
        <f t="shared" si="2"/>
        <v>0.18</v>
      </c>
      <c r="E18" s="34">
        <v>0.18</v>
      </c>
      <c r="F18" s="35">
        <v>0</v>
      </c>
      <c r="H18" s="16"/>
      <c r="I18" s="19"/>
      <c r="J18" s="21"/>
    </row>
    <row r="19" spans="1:10" x14ac:dyDescent="0.25">
      <c r="A19" s="28" t="s">
        <v>36</v>
      </c>
      <c r="B19" s="28" t="s">
        <v>37</v>
      </c>
      <c r="C19" s="28" t="str">
        <f t="shared" si="1"/>
        <v>Pernambuco (PE)</v>
      </c>
      <c r="D19" s="33">
        <f t="shared" si="2"/>
        <v>0.18</v>
      </c>
      <c r="E19" s="34">
        <v>0.18</v>
      </c>
      <c r="F19" s="35">
        <v>0</v>
      </c>
      <c r="H19" s="16"/>
      <c r="I19" s="16"/>
      <c r="J19" s="16"/>
    </row>
    <row r="20" spans="1:10" x14ac:dyDescent="0.25">
      <c r="A20" s="28" t="s">
        <v>38</v>
      </c>
      <c r="B20" s="28" t="s">
        <v>39</v>
      </c>
      <c r="C20" s="28" t="str">
        <f t="shared" si="1"/>
        <v>Piauí (PI)</v>
      </c>
      <c r="D20" s="36">
        <f t="shared" si="2"/>
        <v>0.18000000000000002</v>
      </c>
      <c r="E20" s="34">
        <v>0.17</v>
      </c>
      <c r="F20" s="35">
        <v>0.01</v>
      </c>
      <c r="H20" s="16"/>
      <c r="I20" s="16"/>
      <c r="J20" s="16"/>
    </row>
    <row r="21" spans="1:10" x14ac:dyDescent="0.25">
      <c r="A21" s="28" t="s">
        <v>40</v>
      </c>
      <c r="B21" s="28" t="s">
        <v>41</v>
      </c>
      <c r="C21" s="28" t="str">
        <f t="shared" si="1"/>
        <v>Rio de Janeiro (RJ)</v>
      </c>
      <c r="D21" s="36">
        <f t="shared" si="2"/>
        <v>0.19999999999999998</v>
      </c>
      <c r="E21" s="34">
        <v>0.18</v>
      </c>
      <c r="F21" s="35">
        <v>0.02</v>
      </c>
      <c r="H21" s="16"/>
      <c r="I21" s="16"/>
      <c r="J21" s="16"/>
    </row>
    <row r="22" spans="1:10" x14ac:dyDescent="0.25">
      <c r="A22" s="28" t="s">
        <v>42</v>
      </c>
      <c r="B22" s="28" t="s">
        <v>43</v>
      </c>
      <c r="C22" s="28" t="str">
        <f t="shared" si="1"/>
        <v>Rio Grande do Norte (RN)</v>
      </c>
      <c r="D22" s="33">
        <f t="shared" si="2"/>
        <v>0.18</v>
      </c>
      <c r="E22" s="34">
        <v>0.18</v>
      </c>
      <c r="F22" s="35">
        <v>0</v>
      </c>
      <c r="H22" s="16"/>
      <c r="I22" s="16"/>
      <c r="J22" s="16"/>
    </row>
    <row r="23" spans="1:10" x14ac:dyDescent="0.25">
      <c r="A23" s="28" t="s">
        <v>44</v>
      </c>
      <c r="B23" s="28" t="s">
        <v>45</v>
      </c>
      <c r="C23" s="28" t="str">
        <f t="shared" si="1"/>
        <v>Rio Grande do Sul (RS)</v>
      </c>
      <c r="D23" s="33">
        <f t="shared" si="2"/>
        <v>0.17</v>
      </c>
      <c r="E23" s="34">
        <v>0.17</v>
      </c>
      <c r="F23" s="35">
        <v>0</v>
      </c>
      <c r="H23" s="16"/>
      <c r="I23" s="16"/>
      <c r="J23" s="16"/>
    </row>
    <row r="24" spans="1:10" x14ac:dyDescent="0.25">
      <c r="A24" s="28" t="s">
        <v>46</v>
      </c>
      <c r="B24" s="28" t="s">
        <v>47</v>
      </c>
      <c r="C24" s="28" t="str">
        <f t="shared" si="1"/>
        <v>Rondônia (RO)</v>
      </c>
      <c r="D24" s="33">
        <f t="shared" si="2"/>
        <v>0.17499999999999999</v>
      </c>
      <c r="E24" s="34">
        <v>0.17499999999999999</v>
      </c>
      <c r="F24" s="35">
        <v>0</v>
      </c>
      <c r="H24" s="16"/>
      <c r="I24" s="16"/>
      <c r="J24" s="16"/>
    </row>
    <row r="25" spans="1:10" x14ac:dyDescent="0.25">
      <c r="A25" s="28" t="s">
        <v>48</v>
      </c>
      <c r="B25" s="28" t="s">
        <v>49</v>
      </c>
      <c r="C25" s="28" t="str">
        <f t="shared" si="1"/>
        <v>Roraima (RR)</v>
      </c>
      <c r="D25" s="33">
        <f t="shared" si="2"/>
        <v>0.17</v>
      </c>
      <c r="E25" s="34">
        <v>0.17</v>
      </c>
      <c r="F25" s="35">
        <v>0</v>
      </c>
      <c r="H25" s="16"/>
      <c r="I25" s="16"/>
      <c r="J25" s="16"/>
    </row>
    <row r="26" spans="1:10" x14ac:dyDescent="0.25">
      <c r="A26" s="28" t="s">
        <v>50</v>
      </c>
      <c r="B26" s="28" t="s">
        <v>51</v>
      </c>
      <c r="C26" s="28" t="str">
        <f t="shared" si="1"/>
        <v>Santa Catarina (SC)</v>
      </c>
      <c r="D26" s="33">
        <f t="shared" si="2"/>
        <v>0.17</v>
      </c>
      <c r="E26" s="34">
        <v>0.17</v>
      </c>
      <c r="F26" s="35">
        <v>0</v>
      </c>
      <c r="H26" s="16"/>
      <c r="I26" s="16"/>
      <c r="J26" s="16"/>
    </row>
    <row r="27" spans="1:10" x14ac:dyDescent="0.25">
      <c r="A27" s="28" t="s">
        <v>52</v>
      </c>
      <c r="B27" s="28" t="s">
        <v>53</v>
      </c>
      <c r="C27" s="28" t="str">
        <f t="shared" si="1"/>
        <v>São Paulo (SP)</v>
      </c>
      <c r="D27" s="33">
        <f t="shared" si="2"/>
        <v>0.18</v>
      </c>
      <c r="E27" s="34">
        <v>0.18</v>
      </c>
      <c r="F27" s="35">
        <v>0</v>
      </c>
      <c r="H27" s="16"/>
      <c r="I27" s="16"/>
      <c r="J27" s="16"/>
    </row>
    <row r="28" spans="1:10" x14ac:dyDescent="0.25">
      <c r="A28" s="28" t="s">
        <v>54</v>
      </c>
      <c r="B28" s="28" t="s">
        <v>55</v>
      </c>
      <c r="C28" s="28" t="str">
        <f t="shared" si="1"/>
        <v>Sergipe (SE)</v>
      </c>
      <c r="D28" s="33">
        <f t="shared" si="2"/>
        <v>0.18</v>
      </c>
      <c r="E28" s="34">
        <v>0.18</v>
      </c>
      <c r="F28" s="35">
        <v>0</v>
      </c>
      <c r="H28" s="16"/>
      <c r="I28" s="16"/>
      <c r="J28" s="16"/>
    </row>
    <row r="29" spans="1:10" x14ac:dyDescent="0.25">
      <c r="A29" s="28" t="s">
        <v>56</v>
      </c>
      <c r="B29" s="28" t="s">
        <v>57</v>
      </c>
      <c r="C29" s="28" t="str">
        <f t="shared" si="1"/>
        <v>Tocantins (TO)</v>
      </c>
      <c r="D29" s="33">
        <f t="shared" si="2"/>
        <v>0.18</v>
      </c>
      <c r="E29" s="34">
        <v>0.18</v>
      </c>
      <c r="F29" s="35">
        <v>0</v>
      </c>
      <c r="H29" s="16"/>
      <c r="I29" s="16"/>
      <c r="J29" s="16"/>
    </row>
    <row r="30" spans="1:10" x14ac:dyDescent="0.25">
      <c r="H30" s="16"/>
      <c r="I30" s="16"/>
      <c r="J30" s="16"/>
    </row>
  </sheetData>
  <mergeCells count="2">
    <mergeCell ref="H1:J1"/>
    <mergeCell ref="A1:D1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RESULTADO</vt:lpstr>
      <vt:lpstr>CÁLCULOS</vt:lpstr>
      <vt:lpstr>TABELAS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Veloso - Mentalistas Tecnologia</dc:creator>
  <cp:lastModifiedBy>Vinicius Carvalho - Mentalistas Tecnologia</cp:lastModifiedBy>
  <cp:lastPrinted>2022-12-19T17:16:37Z</cp:lastPrinted>
  <dcterms:created xsi:type="dcterms:W3CDTF">2022-08-08T13:14:18Z</dcterms:created>
  <dcterms:modified xsi:type="dcterms:W3CDTF">2022-12-19T17:17:20Z</dcterms:modified>
</cp:coreProperties>
</file>